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 Real Estate Agent\02 Investor Categories and Tools\7 Be the Bank Invest Tools\"/>
    </mc:Choice>
  </mc:AlternateContent>
  <bookViews>
    <workbookView xWindow="0" yWindow="0" windowWidth="14780" windowHeight="5870"/>
  </bookViews>
  <sheets>
    <sheet name="Property Evaluator" sheetId="39" r:id="rId1"/>
    <sheet name="Affordability" sheetId="38" r:id="rId2"/>
  </sheets>
  <definedNames>
    <definedName name="_xlnm.Print_Area" localSheetId="1">Affordability!#REF!</definedName>
    <definedName name="_xlnm.Print_Area" localSheetId="0">'Property Evaluator'!$A$2:$H$51</definedName>
  </definedNames>
  <calcPr calcId="152511"/>
</workbook>
</file>

<file path=xl/calcChain.xml><?xml version="1.0" encoding="utf-8"?>
<calcChain xmlns="http://schemas.openxmlformats.org/spreadsheetml/2006/main">
  <c r="E30" i="39" l="1"/>
  <c r="E29" i="39"/>
  <c r="F30" i="39"/>
  <c r="F4" i="39" l="1"/>
  <c r="F5" i="39"/>
  <c r="F6" i="39"/>
  <c r="F3" i="39"/>
  <c r="B15" i="39" l="1"/>
  <c r="B14" i="39"/>
  <c r="B7" i="39"/>
  <c r="B6" i="39" l="1"/>
  <c r="B21" i="39" s="1"/>
  <c r="E31" i="39"/>
  <c r="E37" i="39" s="1"/>
  <c r="F37" i="39" s="1"/>
  <c r="E33" i="39" l="1"/>
  <c r="E14" i="39"/>
  <c r="F12" i="39"/>
  <c r="E12" i="39"/>
  <c r="J3" i="39" s="1"/>
  <c r="E34" i="39" l="1"/>
  <c r="F34" i="39" s="1"/>
  <c r="E39" i="39"/>
  <c r="F39" i="39" s="1"/>
  <c r="E15" i="39"/>
  <c r="F15" i="39" s="1"/>
  <c r="B11" i="39"/>
  <c r="B12" i="39" s="1"/>
  <c r="F14" i="39"/>
  <c r="B3" i="38"/>
  <c r="B7" i="38"/>
  <c r="B13" i="39" l="1"/>
  <c r="F33" i="39"/>
  <c r="B17" i="39"/>
  <c r="F31" i="39"/>
  <c r="F16" i="39"/>
  <c r="E16" i="39"/>
  <c r="B10" i="39"/>
  <c r="F19" i="38"/>
  <c r="D19" i="38" s="1"/>
  <c r="F20" i="38"/>
  <c r="D20" i="38" s="1"/>
  <c r="F18" i="38"/>
  <c r="D18" i="38" s="1"/>
  <c r="F17" i="38"/>
  <c r="D17" i="38" s="1"/>
  <c r="F2" i="38"/>
  <c r="E3" i="38"/>
  <c r="E7" i="38"/>
  <c r="E11" i="38"/>
  <c r="E15" i="38"/>
  <c r="E8" i="38"/>
  <c r="E12" i="38"/>
  <c r="E16" i="38"/>
  <c r="E9" i="38"/>
  <c r="E13" i="38"/>
  <c r="E4" i="38"/>
  <c r="E5" i="38"/>
  <c r="E6" i="38"/>
  <c r="E10" i="38"/>
  <c r="E14" i="38"/>
  <c r="E2" i="38"/>
  <c r="F15" i="38"/>
  <c r="F13" i="38"/>
  <c r="F11" i="38"/>
  <c r="F9" i="38"/>
  <c r="F7" i="38"/>
  <c r="F5" i="38"/>
  <c r="F3" i="38"/>
  <c r="F16" i="38"/>
  <c r="F14" i="38"/>
  <c r="F12" i="38"/>
  <c r="F10" i="38"/>
  <c r="F8" i="38"/>
  <c r="F6" i="38"/>
  <c r="F4" i="38"/>
  <c r="J7" i="39" l="1"/>
  <c r="E26" i="39"/>
  <c r="F26" i="39" s="1"/>
  <c r="J8" i="39"/>
  <c r="G30" i="39"/>
  <c r="G29" i="39"/>
  <c r="G33" i="39"/>
  <c r="G31" i="39" l="1"/>
  <c r="E18" i="39"/>
  <c r="F18" i="39" s="1"/>
  <c r="E19" i="39"/>
  <c r="F19" i="39" s="1"/>
  <c r="E20" i="39"/>
  <c r="F20" i="39" s="1"/>
  <c r="E21" i="39"/>
  <c r="F21" i="39" l="1"/>
  <c r="E22" i="39"/>
  <c r="F22" i="39" s="1"/>
  <c r="E23" i="39"/>
  <c r="F23" i="39" l="1"/>
  <c r="E24" i="39"/>
  <c r="F24" i="39" s="1"/>
  <c r="G27" i="39"/>
  <c r="E25" i="39"/>
  <c r="F25" i="39" s="1"/>
  <c r="F27" i="39" l="1"/>
  <c r="E27" i="39"/>
  <c r="E36" i="39" s="1"/>
  <c r="F36" i="39" l="1"/>
  <c r="J5" i="39" s="1"/>
  <c r="E38" i="39"/>
  <c r="F38" i="39" l="1"/>
  <c r="E40" i="39"/>
  <c r="F40" i="39" s="1"/>
  <c r="J6" i="39" s="1"/>
  <c r="J10" i="39" l="1"/>
  <c r="J4" i="39"/>
</calcChain>
</file>

<file path=xl/sharedStrings.xml><?xml version="1.0" encoding="utf-8"?>
<sst xmlns="http://schemas.openxmlformats.org/spreadsheetml/2006/main" count="103" uniqueCount="86">
  <si>
    <t>Purchase Info</t>
  </si>
  <si>
    <t>Square Feet</t>
  </si>
  <si>
    <t>Purchase Price</t>
  </si>
  <si>
    <t>Net Operating Income</t>
  </si>
  <si>
    <t>Monthly</t>
  </si>
  <si>
    <t>Annual</t>
  </si>
  <si>
    <t>Cost Per Square Foot</t>
  </si>
  <si>
    <t>Monthly Rent per Square Foot</t>
  </si>
  <si>
    <t>Cost Per Unit</t>
  </si>
  <si>
    <t>Average Monthly Rent per Unit</t>
  </si>
  <si>
    <t>Loan-to-Value Ratio</t>
  </si>
  <si>
    <t>Loan Amount</t>
  </si>
  <si>
    <t>Loan Type</t>
  </si>
  <si>
    <t>Interest Rate</t>
  </si>
  <si>
    <t>Debt Coverage Ratio</t>
  </si>
  <si>
    <t>Assumptions</t>
  </si>
  <si>
    <t>Vacancy Rate</t>
  </si>
  <si>
    <t>Income</t>
  </si>
  <si>
    <t>Gross Rent</t>
  </si>
  <si>
    <t>Vacancy Loss</t>
  </si>
  <si>
    <t>Insurance</t>
  </si>
  <si>
    <t>Management Fees</t>
  </si>
  <si>
    <t>Taxes</t>
  </si>
  <si>
    <t>Lawn Care</t>
  </si>
  <si>
    <t>Roof Fund</t>
  </si>
  <si>
    <t>Operating Expenses</t>
  </si>
  <si>
    <t>= Cash Flow</t>
  </si>
  <si>
    <t>Unit Info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</si>
  <si>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</si>
  <si>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</si>
  <si>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</si>
  <si>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</si>
  <si>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</si>
  <si>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</si>
  <si>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</si>
  <si>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</si>
  <si>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</si>
  <si>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Rent</t>
  </si>
  <si>
    <t>Total</t>
  </si>
  <si>
    <t>Loan Term</t>
  </si>
  <si>
    <t>Down Payment %</t>
  </si>
  <si>
    <t>Ann Inc - 10% / Purch Price</t>
  </si>
  <si>
    <t>PITI</t>
  </si>
  <si>
    <t>Taxes + Insurance</t>
  </si>
  <si>
    <t>Loan Principle</t>
  </si>
  <si>
    <t>Down Payment</t>
  </si>
  <si>
    <t>Loan Term (Years)</t>
  </si>
  <si>
    <t>% Down</t>
  </si>
  <si>
    <t>Potential Rent Collected</t>
  </si>
  <si>
    <t>(% of Income)</t>
  </si>
  <si>
    <t>Repairs and Maintenance</t>
  </si>
  <si>
    <t>Gas</t>
  </si>
  <si>
    <t>Electric</t>
  </si>
  <si>
    <t>Water</t>
  </si>
  <si>
    <t>Sewer</t>
  </si>
  <si>
    <t>Garbage</t>
  </si>
  <si>
    <t>(= Expense Ratio)</t>
  </si>
  <si>
    <t>Financing</t>
  </si>
  <si>
    <t>Principle + Interest</t>
  </si>
  <si>
    <t>Performance</t>
  </si>
  <si>
    <t>Cap Rate</t>
  </si>
  <si>
    <t>+ Improvements</t>
  </si>
  <si>
    <t>= Cash Invested</t>
  </si>
  <si>
    <t>Ammortized</t>
  </si>
  <si>
    <t>Cap Rate, excl. Tax and Ins.</t>
  </si>
  <si>
    <t>Gross Rent Multiplier</t>
  </si>
  <si>
    <t>Monthly Rent % of Acquisition Cost</t>
  </si>
  <si>
    <t>Taxes and Insurance</t>
  </si>
  <si>
    <t>P+I+T+I</t>
  </si>
  <si>
    <t>+ Buying Costs, Closing Costs (~1%)</t>
  </si>
  <si>
    <t>Nate's Property Evaluator. Adjust the yellow boxes only.</t>
  </si>
  <si>
    <t># of Units</t>
  </si>
  <si>
    <t>Mortgage</t>
  </si>
  <si>
    <t>Monthly Payment (Principle+Interest)</t>
  </si>
  <si>
    <t>- Taxes, Insurance</t>
  </si>
  <si>
    <t>EBITDA</t>
  </si>
  <si>
    <t>- Financing</t>
  </si>
  <si>
    <t>Cash on Cash ROI</t>
  </si>
  <si>
    <t>Evaluation Metrics</t>
  </si>
  <si>
    <t>Low = expensive property, High = high rent. Range is approx. 0.5% - 2.0%</t>
  </si>
  <si>
    <t>Common metric.</t>
  </si>
  <si>
    <t>= net operating income per acquisition cost</t>
  </si>
  <si>
    <t>= same, but before taxes and insurance</t>
  </si>
  <si>
    <t>Actual cash in pocket annually per actual cash invested.</t>
  </si>
  <si>
    <t>NOI per mortgage payment. Greater than 1.0 means income covers the mortgage.</t>
  </si>
  <si>
    <t>GRM, very common metric. High = expensive. Range is approx. 50- 150.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</si>
</sst>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.00000000000000000000000000000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Border="1"/>
    <xf numFmtId="166" fontId="0" fillId="0" borderId="0" xfId="0" applyNumberForma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1" xfId="0" applyFon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6" fontId="1" fillId="0" borderId="1" xfId="0" applyNumberFormat="1" applyFont="1" applyBorder="1"/>
    <xf numFmtId="10" fontId="1" fillId="2" borderId="1" xfId="0" applyNumberFormat="1" applyFont="1" applyFill="1" applyBorder="1"/>
    <xf numFmtId="166" fontId="1" fillId="3" borderId="1" xfId="0" applyNumberFormat="1" applyFont="1" applyFill="1" applyBorder="1"/>
    <xf numFmtId="167" fontId="1" fillId="0" borderId="1" xfId="0" applyNumberFormat="1" applyFont="1" applyBorder="1"/>
    <xf numFmtId="164" fontId="0" fillId="0" borderId="1" xfId="0" applyNumberFormat="1" applyBorder="1"/>
    <xf numFmtId="166" fontId="0" fillId="2" borderId="1" xfId="0" applyNumberFormat="1" applyFill="1" applyBorder="1"/>
    <xf numFmtId="0" fontId="1" fillId="0" borderId="0" xfId="0" applyFont="1" applyBorder="1"/>
    <xf numFmtId="164" fontId="1" fillId="0" borderId="0" xfId="0" applyNumberFormat="1" applyFont="1" applyBorder="1"/>
    <xf numFmtId="49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0" xfId="0" applyFont="1"/>
    <xf numFmtId="49" fontId="1" fillId="0" borderId="1" xfId="0" applyNumberFormat="1" applyFont="1" applyFill="1" applyBorder="1"/>
    <xf numFmtId="3" fontId="1" fillId="0" borderId="1" xfId="0" applyNumberFormat="1" applyFont="1" applyFill="1" applyBorder="1"/>
    <xf numFmtId="1" fontId="1" fillId="2" borderId="1" xfId="0" applyNumberFormat="1" applyFont="1" applyFill="1" applyBorder="1"/>
    <xf numFmtId="49" fontId="1" fillId="0" borderId="1" xfId="0" applyNumberFormat="1" applyFont="1" applyBorder="1"/>
    <xf numFmtId="166" fontId="1" fillId="0" borderId="1" xfId="1" applyNumberFormat="1" applyFont="1" applyBorder="1"/>
    <xf numFmtId="49" fontId="1" fillId="2" borderId="1" xfId="0" applyNumberFormat="1" applyFont="1" applyFill="1" applyBorder="1"/>
    <xf numFmtId="168" fontId="1" fillId="0" borderId="1" xfId="1" applyNumberFormat="1" applyFont="1" applyBorder="1"/>
    <xf numFmtId="49" fontId="3" fillId="0" borderId="1" xfId="0" applyNumberFormat="1" applyFont="1" applyBorder="1"/>
    <xf numFmtId="1" fontId="1" fillId="0" borderId="1" xfId="0" applyNumberFormat="1" applyFont="1" applyBorder="1"/>
    <xf numFmtId="9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Border="1"/>
    <xf numFmtId="49" fontId="3" fillId="0" borderId="1" xfId="0" applyNumberFormat="1" applyFont="1" applyFill="1" applyBorder="1"/>
    <xf numFmtId="9" fontId="1" fillId="0" borderId="1" xfId="0" applyNumberFormat="1" applyFont="1" applyFill="1" applyBorder="1"/>
    <xf numFmtId="49" fontId="1" fillId="0" borderId="0" xfId="0" applyNumberFormat="1" applyFont="1"/>
    <xf numFmtId="9" fontId="1" fillId="2" borderId="1" xfId="0" applyNumberFormat="1" applyFont="1" applyFill="1" applyBorder="1"/>
    <xf numFmtId="9" fontId="1" fillId="3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9" fontId="1" fillId="0" borderId="1" xfId="1" applyFont="1" applyBorder="1"/>
    <xf numFmtId="49" fontId="4" fillId="0" borderId="1" xfId="0" applyNumberFormat="1" applyFont="1" applyBorder="1" applyAlignment="1"/>
    <xf numFmtId="0" fontId="1" fillId="0" borderId="2" xfId="0" applyFont="1" applyBorder="1"/>
    <xf numFmtId="164" fontId="1" fillId="0" borderId="1" xfId="2" applyNumberFormat="1" applyFont="1" applyBorder="1"/>
    <xf numFmtId="0" fontId="1" fillId="0" borderId="1" xfId="0" quotePrefix="1" applyFont="1" applyBorder="1"/>
    <xf numFmtId="49" fontId="1" fillId="0" borderId="0" xfId="0" applyNumberFormat="1" applyFont="1" applyBorder="1"/>
    <xf numFmtId="49" fontId="0" fillId="0" borderId="0" xfId="0" applyNumberFormat="1" applyBorder="1"/>
    <xf numFmtId="164" fontId="0" fillId="0" borderId="0" xfId="0" applyNumberFormat="1" applyBorder="1"/>
    <xf numFmtId="0" fontId="1" fillId="0" borderId="3" xfId="0" applyFont="1" applyBorder="1"/>
    <xf numFmtId="9" fontId="1" fillId="2" borderId="1" xfId="1" applyFont="1" applyFill="1" applyBorder="1"/>
    <xf numFmtId="165" fontId="1" fillId="0" borderId="1" xfId="0" applyNumberFormat="1" applyFont="1" applyFill="1" applyBorder="1"/>
    <xf numFmtId="9" fontId="1" fillId="2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9525</xdr:rowOff>
    </xdr:from>
    <xdr:to>
      <xdr:col>11</xdr:col>
      <xdr:colOff>38100</xdr:colOff>
      <xdr:row>12</xdr:row>
      <xdr:rowOff>161925</xdr:rowOff>
    </xdr:to>
    <xdr:sp macro="" textlink="">
      <xdr:nvSpPr>
        <xdr:cNvPr id="2" name="TextBox 1"/>
        <xdr:cNvSpPr txBox="1"/>
      </xdr:nvSpPr>
      <xdr:spPr>
        <a:xfrm>
          <a:off x="5229225" y="200025"/>
          <a:ext cx="2781300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latin typeface="Times New Roman" panose="02020603050405020304" pitchFamily="18" charset="0"/>
              <a:cs typeface="Times New Roman" panose="02020603050405020304" pitchFamily="18" charset="0"/>
            </a:rPr>
            <a:t>Fill in the yellow</a:t>
          </a:r>
          <a:r>
            <a:rPr lang="en-US" sz="2800" baseline="0">
              <a:latin typeface="Times New Roman" panose="02020603050405020304" pitchFamily="18" charset="0"/>
              <a:cs typeface="Times New Roman" panose="02020603050405020304" pitchFamily="18" charset="0"/>
            </a:rPr>
            <a:t> highlighted boxes. Other cells contain formulas.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sqref="A1:G1"/>
    </sheetView>
  </sheetViews>
  <sheetFormatPr defaultColWidth="9.1796875" defaultRowHeight="14.5" x14ac:dyDescent="0.35"/>
  <cols>
    <col min="1" max="1" width="33" style="1" bestFit="1" customWidth="1"/>
    <col min="2" max="2" width="12.453125" bestFit="1" customWidth="1"/>
    <col min="3" max="3" width="7.26953125" style="2" customWidth="1"/>
    <col min="4" max="4" width="24.26953125" bestFit="1" customWidth="1"/>
    <col min="5" max="5" width="26.7265625" style="1" bestFit="1" customWidth="1"/>
    <col min="6" max="6" width="13.453125" style="2" bestFit="1" customWidth="1"/>
    <col min="7" max="7" width="12.1796875" bestFit="1" customWidth="1"/>
    <col min="8" max="8" width="7.26953125" customWidth="1"/>
    <col min="9" max="9" width="30.54296875" bestFit="1" customWidth="1"/>
    <col min="10" max="10" width="7" bestFit="1" customWidth="1"/>
    <col min="11" max="11" width="66.6328125" style="37" bestFit="1" customWidth="1"/>
  </cols>
  <sheetData>
    <row r="1" spans="1:11" ht="20" customHeight="1" x14ac:dyDescent="0.45">
      <c r="A1" s="54" t="s">
        <v>70</v>
      </c>
      <c r="B1" s="54"/>
      <c r="C1" s="54"/>
      <c r="D1" s="54"/>
      <c r="E1" s="54"/>
      <c r="F1" s="54"/>
      <c r="G1" s="54"/>
      <c r="H1" s="43"/>
    </row>
    <row r="2" spans="1:11" x14ac:dyDescent="0.35">
      <c r="A2" s="20" t="s">
        <v>0</v>
      </c>
      <c r="B2" s="6"/>
      <c r="C2" s="44"/>
      <c r="D2" s="20" t="s">
        <v>27</v>
      </c>
      <c r="E2" s="21" t="s">
        <v>37</v>
      </c>
      <c r="F2" s="22" t="s">
        <v>1</v>
      </c>
      <c r="G2" s="5"/>
      <c r="H2" s="7"/>
      <c r="I2" s="20" t="s">
        <v>78</v>
      </c>
      <c r="J2" s="6" t="s">
        <v>5</v>
      </c>
    </row>
    <row r="3" spans="1:11" x14ac:dyDescent="0.35">
      <c r="A3" s="24" t="s">
        <v>71</v>
      </c>
      <c r="B3" s="26">
        <v>4</v>
      </c>
      <c r="C3" s="44"/>
      <c r="D3" s="24" t="s">
        <v>28</v>
      </c>
      <c r="E3" s="8">
        <v>663</v>
      </c>
      <c r="F3" s="26">
        <f>6170/4</f>
        <v>1542.5</v>
      </c>
      <c r="G3" s="7"/>
      <c r="H3" s="7"/>
      <c r="I3" s="27" t="s">
        <v>66</v>
      </c>
      <c r="J3" s="28">
        <f>E12/(B4+B9)</f>
        <v>6.9789473684210524E-3</v>
      </c>
      <c r="K3" s="37" t="s">
        <v>79</v>
      </c>
    </row>
    <row r="4" spans="1:11" x14ac:dyDescent="0.35">
      <c r="A4" s="24" t="s">
        <v>2</v>
      </c>
      <c r="B4" s="8">
        <v>380000</v>
      </c>
      <c r="C4" s="44"/>
      <c r="D4" s="24" t="s">
        <v>29</v>
      </c>
      <c r="E4" s="8">
        <v>663</v>
      </c>
      <c r="F4" s="26">
        <f t="shared" ref="F4:F6" si="0">6170/4</f>
        <v>1542.5</v>
      </c>
      <c r="G4" s="7"/>
      <c r="H4" s="7"/>
      <c r="I4" s="27" t="s">
        <v>60</v>
      </c>
      <c r="J4" s="28">
        <f>F38/(B4+B9)</f>
        <v>2.2490684210526312E-2</v>
      </c>
      <c r="K4" s="37" t="s">
        <v>81</v>
      </c>
    </row>
    <row r="5" spans="1:11" x14ac:dyDescent="0.35">
      <c r="A5" s="24" t="s">
        <v>40</v>
      </c>
      <c r="B5" s="51">
        <v>0.2</v>
      </c>
      <c r="C5" s="44"/>
      <c r="D5" s="27" t="s">
        <v>30</v>
      </c>
      <c r="E5" s="8">
        <v>663</v>
      </c>
      <c r="F5" s="26">
        <f t="shared" si="0"/>
        <v>1542.5</v>
      </c>
      <c r="G5" s="7"/>
      <c r="H5" s="7"/>
      <c r="I5" s="27" t="s">
        <v>64</v>
      </c>
      <c r="J5" s="28">
        <f>F36/(B4+B9)</f>
        <v>4.522357894736842E-2</v>
      </c>
      <c r="K5" s="37" t="s">
        <v>82</v>
      </c>
    </row>
    <row r="6" spans="1:11" x14ac:dyDescent="0.35">
      <c r="A6" s="24" t="s">
        <v>11</v>
      </c>
      <c r="B6" s="11">
        <f>B4*(1-B5)</f>
        <v>304000</v>
      </c>
      <c r="C6" s="44"/>
      <c r="D6" s="27" t="s">
        <v>31</v>
      </c>
      <c r="E6" s="8">
        <v>663</v>
      </c>
      <c r="F6" s="26">
        <f t="shared" si="0"/>
        <v>1542.5</v>
      </c>
      <c r="G6" s="7"/>
      <c r="H6" s="7"/>
      <c r="I6" s="27" t="s">
        <v>77</v>
      </c>
      <c r="J6" s="28">
        <f>F40/B10</f>
        <v>-0.13793730046886168</v>
      </c>
      <c r="K6" s="37" t="s">
        <v>83</v>
      </c>
    </row>
    <row r="7" spans="1:11" x14ac:dyDescent="0.35">
      <c r="A7" s="24" t="s">
        <v>45</v>
      </c>
      <c r="B7" s="10">
        <f>B4*B5</f>
        <v>76000</v>
      </c>
      <c r="C7" s="44"/>
      <c r="D7" s="27" t="s">
        <v>32</v>
      </c>
      <c r="E7" s="8"/>
      <c r="F7" s="26"/>
      <c r="G7" s="7"/>
      <c r="H7" s="7"/>
      <c r="I7" s="27" t="s">
        <v>65</v>
      </c>
      <c r="J7" s="30">
        <f>B4/E16</f>
        <v>159.2089827383945</v>
      </c>
      <c r="K7" s="37" t="s">
        <v>85</v>
      </c>
    </row>
    <row r="8" spans="1:11" x14ac:dyDescent="0.35">
      <c r="A8" s="24" t="s">
        <v>69</v>
      </c>
      <c r="B8" s="8">
        <v>0</v>
      </c>
      <c r="C8" s="44"/>
      <c r="D8" s="27" t="s">
        <v>33</v>
      </c>
      <c r="E8" s="8"/>
      <c r="F8" s="26"/>
      <c r="G8" s="7"/>
      <c r="H8" s="7"/>
      <c r="I8" s="27" t="s">
        <v>41</v>
      </c>
      <c r="J8" s="12">
        <f>(F16-F16*0.1)/B4</f>
        <v>6.783536842105263E-2</v>
      </c>
      <c r="K8" s="37" t="s">
        <v>80</v>
      </c>
    </row>
    <row r="9" spans="1:11" x14ac:dyDescent="0.35">
      <c r="A9" s="24" t="s">
        <v>61</v>
      </c>
      <c r="B9" s="8">
        <v>0</v>
      </c>
      <c r="C9" s="44"/>
      <c r="D9" s="27" t="s">
        <v>34</v>
      </c>
      <c r="E9" s="8"/>
      <c r="F9" s="26"/>
      <c r="G9" s="7"/>
      <c r="H9" s="7"/>
      <c r="I9" s="27"/>
      <c r="J9" s="10"/>
    </row>
    <row r="10" spans="1:11" x14ac:dyDescent="0.35">
      <c r="A10" s="31" t="s">
        <v>62</v>
      </c>
      <c r="B10" s="10">
        <f>B7+B8+B9</f>
        <v>76000</v>
      </c>
      <c r="C10" s="44"/>
      <c r="D10" s="27" t="s">
        <v>35</v>
      </c>
      <c r="E10" s="8"/>
      <c r="F10" s="26"/>
      <c r="G10" s="7"/>
      <c r="H10" s="7"/>
      <c r="I10" s="27" t="s">
        <v>14</v>
      </c>
      <c r="J10" s="30">
        <f>F38/F33</f>
        <v>0.44911177366841326</v>
      </c>
      <c r="K10" s="37" t="s">
        <v>84</v>
      </c>
    </row>
    <row r="11" spans="1:11" x14ac:dyDescent="0.35">
      <c r="A11" s="24" t="s">
        <v>1</v>
      </c>
      <c r="B11" s="25">
        <f>F12</f>
        <v>6170</v>
      </c>
      <c r="C11" s="44"/>
      <c r="D11" s="27" t="s">
        <v>36</v>
      </c>
      <c r="E11" s="8"/>
      <c r="F11" s="26"/>
      <c r="G11" s="7"/>
      <c r="H11" s="7"/>
      <c r="I11" s="23"/>
      <c r="J11" s="23"/>
    </row>
    <row r="12" spans="1:11" x14ac:dyDescent="0.35">
      <c r="A12" s="27" t="s">
        <v>6</v>
      </c>
      <c r="B12" s="34">
        <f>B4/B11</f>
        <v>61.588330632090759</v>
      </c>
      <c r="C12" s="44"/>
      <c r="D12" s="31" t="s">
        <v>38</v>
      </c>
      <c r="E12" s="10">
        <f>SUM(E3:E11)</f>
        <v>2652</v>
      </c>
      <c r="F12" s="32">
        <f>SUM(F3:F11)</f>
        <v>6170</v>
      </c>
      <c r="G12" s="50"/>
      <c r="H12" s="23"/>
      <c r="I12" s="23"/>
      <c r="J12" s="23"/>
    </row>
    <row r="13" spans="1:11" x14ac:dyDescent="0.35">
      <c r="A13" s="27" t="s">
        <v>7</v>
      </c>
      <c r="B13" s="34">
        <f>E14/B11</f>
        <v>0.42982171799027552</v>
      </c>
      <c r="C13" s="44"/>
      <c r="D13" s="20" t="s">
        <v>17</v>
      </c>
      <c r="E13" s="21" t="s">
        <v>4</v>
      </c>
      <c r="F13" s="22" t="s">
        <v>5</v>
      </c>
      <c r="G13" s="5"/>
      <c r="H13" s="23"/>
      <c r="I13" s="23"/>
      <c r="J13" s="23"/>
    </row>
    <row r="14" spans="1:11" x14ac:dyDescent="0.35">
      <c r="A14" s="27" t="s">
        <v>8</v>
      </c>
      <c r="B14" s="34">
        <f>B4/B3</f>
        <v>95000</v>
      </c>
      <c r="C14" s="44"/>
      <c r="D14" s="27" t="s">
        <v>48</v>
      </c>
      <c r="E14" s="10">
        <f>SUM(E3:E11)</f>
        <v>2652</v>
      </c>
      <c r="F14" s="10">
        <f>E14*12</f>
        <v>31824</v>
      </c>
      <c r="G14" s="7"/>
      <c r="H14" s="23"/>
      <c r="I14" s="23"/>
      <c r="J14" s="23"/>
    </row>
    <row r="15" spans="1:11" x14ac:dyDescent="0.35">
      <c r="A15" s="24" t="s">
        <v>9</v>
      </c>
      <c r="B15" s="10">
        <f>AVERAGE(E3:E11)</f>
        <v>663</v>
      </c>
      <c r="C15" s="44"/>
      <c r="D15" s="27" t="s">
        <v>19</v>
      </c>
      <c r="E15" s="10">
        <f>E14*B23</f>
        <v>265.2</v>
      </c>
      <c r="F15" s="10">
        <f>E15*12</f>
        <v>3182.3999999999996</v>
      </c>
      <c r="G15" s="7"/>
      <c r="H15" s="23"/>
      <c r="I15" s="23"/>
      <c r="J15" s="23"/>
    </row>
    <row r="16" spans="1:11" x14ac:dyDescent="0.35">
      <c r="A16" s="20" t="s">
        <v>72</v>
      </c>
      <c r="B16" s="21"/>
      <c r="C16" s="44"/>
      <c r="D16" s="31" t="s">
        <v>18</v>
      </c>
      <c r="E16" s="10">
        <f>E14-E15</f>
        <v>2386.8000000000002</v>
      </c>
      <c r="F16" s="10">
        <f>F14-F15</f>
        <v>28641.599999999999</v>
      </c>
      <c r="G16" s="7"/>
      <c r="H16" s="23"/>
      <c r="I16" s="23"/>
      <c r="J16" s="23"/>
    </row>
    <row r="17" spans="1:10" x14ac:dyDescent="0.35">
      <c r="A17" s="27" t="s">
        <v>10</v>
      </c>
      <c r="B17" s="42">
        <f>B6/B4</f>
        <v>0.8</v>
      </c>
      <c r="C17" s="44"/>
      <c r="D17" s="20" t="s">
        <v>25</v>
      </c>
      <c r="E17" s="21" t="s">
        <v>4</v>
      </c>
      <c r="F17" s="22" t="s">
        <v>5</v>
      </c>
      <c r="G17" s="22" t="s">
        <v>49</v>
      </c>
      <c r="H17" s="23"/>
      <c r="I17" s="23"/>
      <c r="J17" s="23"/>
    </row>
    <row r="18" spans="1:10" x14ac:dyDescent="0.35">
      <c r="A18" s="27" t="s">
        <v>12</v>
      </c>
      <c r="B18" s="7" t="s">
        <v>63</v>
      </c>
      <c r="C18" s="44"/>
      <c r="D18" s="24" t="s">
        <v>21</v>
      </c>
      <c r="E18" s="52">
        <f t="shared" ref="E18:E25" si="1">G18*$E$16</f>
        <v>286.416</v>
      </c>
      <c r="F18" s="11">
        <f>E18*12</f>
        <v>3436.9920000000002</v>
      </c>
      <c r="G18" s="53">
        <v>0.12</v>
      </c>
      <c r="H18" s="23"/>
      <c r="I18" s="23"/>
      <c r="J18" s="23"/>
    </row>
    <row r="19" spans="1:10" x14ac:dyDescent="0.35">
      <c r="A19" s="29" t="s">
        <v>39</v>
      </c>
      <c r="B19" s="9">
        <v>30</v>
      </c>
      <c r="C19" s="44"/>
      <c r="D19" s="24" t="s">
        <v>50</v>
      </c>
      <c r="E19" s="52">
        <f t="shared" si="1"/>
        <v>620.5680000000001</v>
      </c>
      <c r="F19" s="11">
        <f t="shared" ref="F19:F30" si="2">E19*12</f>
        <v>7446.8160000000007</v>
      </c>
      <c r="G19" s="53">
        <v>0.26</v>
      </c>
      <c r="H19" s="23"/>
      <c r="I19" s="23"/>
      <c r="J19" s="23"/>
    </row>
    <row r="20" spans="1:10" x14ac:dyDescent="0.35">
      <c r="A20" s="29" t="s">
        <v>13</v>
      </c>
      <c r="B20" s="13">
        <v>4.7500000000000001E-2</v>
      </c>
      <c r="C20" s="44"/>
      <c r="D20" s="24" t="s">
        <v>23</v>
      </c>
      <c r="E20" s="52">
        <f t="shared" si="1"/>
        <v>0</v>
      </c>
      <c r="F20" s="11">
        <f t="shared" si="2"/>
        <v>0</v>
      </c>
      <c r="G20" s="53">
        <v>0</v>
      </c>
      <c r="H20" s="23"/>
      <c r="I20" s="23"/>
      <c r="J20" s="23"/>
    </row>
    <row r="21" spans="1:10" x14ac:dyDescent="0.35">
      <c r="A21" s="27" t="s">
        <v>73</v>
      </c>
      <c r="B21" s="10">
        <f>-PMT(B20/12,B19*12,B6)</f>
        <v>1585.8079029694572</v>
      </c>
      <c r="C21" s="44"/>
      <c r="D21" s="24" t="s">
        <v>51</v>
      </c>
      <c r="E21" s="52">
        <f t="shared" si="1"/>
        <v>0</v>
      </c>
      <c r="F21" s="11">
        <f t="shared" si="2"/>
        <v>0</v>
      </c>
      <c r="G21" s="53">
        <v>0</v>
      </c>
      <c r="H21" s="23"/>
      <c r="I21" s="23"/>
      <c r="J21" s="23"/>
    </row>
    <row r="22" spans="1:10" x14ac:dyDescent="0.35">
      <c r="A22" s="20" t="s">
        <v>15</v>
      </c>
      <c r="B22" s="5"/>
      <c r="C22" s="44"/>
      <c r="D22" s="24" t="s">
        <v>52</v>
      </c>
      <c r="E22" s="52">
        <f t="shared" si="1"/>
        <v>0</v>
      </c>
      <c r="F22" s="11">
        <f t="shared" si="2"/>
        <v>0</v>
      </c>
      <c r="G22" s="53">
        <v>0</v>
      </c>
      <c r="H22" s="23"/>
      <c r="I22" s="23"/>
      <c r="J22" s="23"/>
    </row>
    <row r="23" spans="1:10" x14ac:dyDescent="0.35">
      <c r="A23" s="29" t="s">
        <v>16</v>
      </c>
      <c r="B23" s="38">
        <v>0.1</v>
      </c>
      <c r="C23" s="44"/>
      <c r="D23" s="24" t="s">
        <v>53</v>
      </c>
      <c r="E23" s="52">
        <f t="shared" si="1"/>
        <v>0</v>
      </c>
      <c r="F23" s="11">
        <f t="shared" si="2"/>
        <v>0</v>
      </c>
      <c r="G23" s="53">
        <v>0</v>
      </c>
      <c r="H23" s="23"/>
      <c r="I23" s="23"/>
      <c r="J23" s="23"/>
    </row>
    <row r="24" spans="1:10" x14ac:dyDescent="0.35">
      <c r="A24" s="47"/>
      <c r="B24" s="19"/>
      <c r="C24" s="18"/>
      <c r="D24" s="24" t="s">
        <v>54</v>
      </c>
      <c r="E24" s="52">
        <f t="shared" si="1"/>
        <v>0</v>
      </c>
      <c r="F24" s="11">
        <f t="shared" si="2"/>
        <v>0</v>
      </c>
      <c r="G24" s="53">
        <v>0</v>
      </c>
      <c r="H24" s="23"/>
      <c r="I24" s="23"/>
      <c r="J24" s="23"/>
    </row>
    <row r="25" spans="1:10" x14ac:dyDescent="0.35">
      <c r="A25" s="48"/>
      <c r="B25" s="49"/>
      <c r="C25" s="18"/>
      <c r="D25" s="24" t="s">
        <v>55</v>
      </c>
      <c r="E25" s="52">
        <f t="shared" si="1"/>
        <v>0</v>
      </c>
      <c r="F25" s="11">
        <f t="shared" si="2"/>
        <v>0</v>
      </c>
      <c r="G25" s="53">
        <v>0</v>
      </c>
      <c r="H25" s="23"/>
      <c r="I25" s="23"/>
      <c r="J25" s="23"/>
    </row>
    <row r="26" spans="1:10" x14ac:dyDescent="0.35">
      <c r="A26" s="48"/>
      <c r="B26" s="49"/>
      <c r="C26" s="18"/>
      <c r="D26" s="24" t="s">
        <v>24</v>
      </c>
      <c r="E26" s="52">
        <f>G26*$E$16</f>
        <v>47.736000000000004</v>
      </c>
      <c r="F26" s="11">
        <f t="shared" si="2"/>
        <v>572.83200000000011</v>
      </c>
      <c r="G26" s="53">
        <v>0.02</v>
      </c>
      <c r="I26" s="23"/>
      <c r="J26" s="23"/>
    </row>
    <row r="27" spans="1:10" x14ac:dyDescent="0.35">
      <c r="A27" s="48"/>
      <c r="B27" s="49"/>
      <c r="C27" s="18"/>
      <c r="D27" s="35" t="s">
        <v>25</v>
      </c>
      <c r="E27" s="11">
        <f>SUM(E18:E26)</f>
        <v>954.72000000000014</v>
      </c>
      <c r="F27" s="11">
        <f>SUM(F18:F26)</f>
        <v>11456.640000000001</v>
      </c>
      <c r="G27" s="36">
        <f>SUM(G18:G26)</f>
        <v>0.4</v>
      </c>
      <c r="H27" s="37" t="s">
        <v>56</v>
      </c>
      <c r="I27" s="23"/>
      <c r="J27" s="23"/>
    </row>
    <row r="28" spans="1:10" x14ac:dyDescent="0.35">
      <c r="A28" s="48"/>
      <c r="B28" s="49"/>
      <c r="C28" s="18"/>
      <c r="D28" s="20" t="s">
        <v>67</v>
      </c>
      <c r="E28" s="21" t="s">
        <v>4</v>
      </c>
      <c r="F28" s="22" t="s">
        <v>5</v>
      </c>
      <c r="G28" s="22" t="s">
        <v>49</v>
      </c>
      <c r="H28" s="23"/>
      <c r="I28" s="23"/>
      <c r="J28" s="23"/>
    </row>
    <row r="29" spans="1:10" x14ac:dyDescent="0.35">
      <c r="A29" s="48"/>
      <c r="B29" s="49"/>
      <c r="C29" s="18"/>
      <c r="D29" s="24" t="s">
        <v>22</v>
      </c>
      <c r="E29" s="52">
        <f>F29/12</f>
        <v>479.91666666666669</v>
      </c>
      <c r="F29" s="8">
        <v>5759</v>
      </c>
      <c r="G29" s="33">
        <f>E29/$E$16</f>
        <v>0.20107116920842411</v>
      </c>
      <c r="H29" s="23"/>
      <c r="I29" s="23"/>
      <c r="J29" s="23"/>
    </row>
    <row r="30" spans="1:10" x14ac:dyDescent="0.35">
      <c r="A30" s="48"/>
      <c r="B30" s="49"/>
      <c r="C30" s="18"/>
      <c r="D30" s="24" t="s">
        <v>20</v>
      </c>
      <c r="E30" s="52">
        <f>F30/12</f>
        <v>239.95833333333334</v>
      </c>
      <c r="F30" s="8">
        <f>5759/2</f>
        <v>2879.5</v>
      </c>
      <c r="G30" s="33">
        <f>E30/$E$16</f>
        <v>0.10053558460421205</v>
      </c>
      <c r="I30" s="23"/>
      <c r="J30" s="23"/>
    </row>
    <row r="31" spans="1:10" x14ac:dyDescent="0.35">
      <c r="A31" s="48"/>
      <c r="B31" s="3"/>
      <c r="C31" s="18"/>
      <c r="D31" s="35" t="s">
        <v>67</v>
      </c>
      <c r="E31" s="11">
        <f>E29+E30</f>
        <v>719.875</v>
      </c>
      <c r="F31" s="11">
        <f>F29+F30</f>
        <v>8638.5</v>
      </c>
      <c r="G31" s="36">
        <f>G29+G30</f>
        <v>0.30160675381263613</v>
      </c>
      <c r="H31" s="23"/>
      <c r="I31" s="23"/>
      <c r="J31" s="23"/>
    </row>
    <row r="32" spans="1:10" x14ac:dyDescent="0.35">
      <c r="A32" s="48"/>
      <c r="B32" s="3"/>
      <c r="C32" s="18"/>
      <c r="D32" s="20" t="s">
        <v>57</v>
      </c>
      <c r="E32" s="21" t="s">
        <v>4</v>
      </c>
      <c r="F32" s="21" t="s">
        <v>5</v>
      </c>
      <c r="G32" s="39"/>
      <c r="H32" s="23"/>
      <c r="I32" s="23"/>
      <c r="J32" s="23"/>
    </row>
    <row r="33" spans="1:10" x14ac:dyDescent="0.35">
      <c r="A33" s="48"/>
      <c r="B33" s="3"/>
      <c r="C33" s="18"/>
      <c r="D33" s="24" t="s">
        <v>58</v>
      </c>
      <c r="E33" s="40">
        <f>B21</f>
        <v>1585.8079029694572</v>
      </c>
      <c r="F33" s="40">
        <f>E33*12</f>
        <v>19029.694835633487</v>
      </c>
      <c r="G33" s="33">
        <f>E33/$E$16</f>
        <v>0.66440753434282607</v>
      </c>
      <c r="H33" s="23"/>
      <c r="I33" s="23"/>
      <c r="J33" s="23"/>
    </row>
    <row r="34" spans="1:10" x14ac:dyDescent="0.35">
      <c r="A34" s="48"/>
      <c r="B34" s="3"/>
      <c r="C34" s="18"/>
      <c r="D34" s="24" t="s">
        <v>68</v>
      </c>
      <c r="E34" s="40">
        <f>E33+E29+E30</f>
        <v>2305.6829029694572</v>
      </c>
      <c r="F34" s="40">
        <f>E34*12</f>
        <v>27668.194835633487</v>
      </c>
      <c r="G34" s="33"/>
      <c r="H34" s="23"/>
      <c r="I34" s="23"/>
      <c r="J34" s="23"/>
    </row>
    <row r="35" spans="1:10" x14ac:dyDescent="0.35">
      <c r="A35" s="48"/>
      <c r="B35" s="3"/>
      <c r="C35" s="18"/>
      <c r="D35" s="20" t="s">
        <v>59</v>
      </c>
      <c r="E35" s="21" t="s">
        <v>4</v>
      </c>
      <c r="F35" s="22" t="s">
        <v>5</v>
      </c>
      <c r="G35" s="5"/>
      <c r="H35" s="23"/>
      <c r="I35" s="23"/>
      <c r="J35" s="23"/>
    </row>
    <row r="36" spans="1:10" x14ac:dyDescent="0.35">
      <c r="A36" s="48"/>
      <c r="B36" s="3"/>
      <c r="C36" s="18"/>
      <c r="D36" s="41" t="s">
        <v>75</v>
      </c>
      <c r="E36" s="45">
        <f>E16-E27</f>
        <v>1432.08</v>
      </c>
      <c r="F36" s="34">
        <f t="shared" ref="F36:F40" si="3">E36*12</f>
        <v>17184.96</v>
      </c>
      <c r="G36" s="7"/>
      <c r="H36" s="23"/>
      <c r="I36" s="23"/>
      <c r="J36" s="23"/>
    </row>
    <row r="37" spans="1:10" x14ac:dyDescent="0.35">
      <c r="A37" s="48"/>
      <c r="B37" s="3"/>
      <c r="C37" s="18"/>
      <c r="D37" s="27" t="s">
        <v>74</v>
      </c>
      <c r="E37" s="10">
        <f>E31</f>
        <v>719.875</v>
      </c>
      <c r="F37" s="34">
        <f t="shared" si="3"/>
        <v>8638.5</v>
      </c>
      <c r="G37" s="41"/>
      <c r="H37" s="23"/>
      <c r="I37" s="23"/>
      <c r="J37" s="23"/>
    </row>
    <row r="38" spans="1:10" x14ac:dyDescent="0.35">
      <c r="A38" s="48"/>
      <c r="B38" s="3"/>
      <c r="C38" s="18"/>
      <c r="D38" s="31" t="s">
        <v>3</v>
      </c>
      <c r="E38" s="10">
        <f>E36-E37</f>
        <v>712.20499999999993</v>
      </c>
      <c r="F38" s="34">
        <f t="shared" si="3"/>
        <v>8546.4599999999991</v>
      </c>
      <c r="G38" s="41"/>
      <c r="H38" s="23"/>
      <c r="I38" s="23"/>
      <c r="J38" s="23"/>
    </row>
    <row r="39" spans="1:10" x14ac:dyDescent="0.35">
      <c r="C39" s="18"/>
      <c r="D39" s="46" t="s">
        <v>76</v>
      </c>
      <c r="E39" s="45">
        <f>E33</f>
        <v>1585.8079029694572</v>
      </c>
      <c r="F39" s="34">
        <f t="shared" si="3"/>
        <v>19029.694835633487</v>
      </c>
      <c r="G39" s="7"/>
      <c r="H39" s="23"/>
      <c r="I39" s="23"/>
      <c r="J39" s="23"/>
    </row>
    <row r="40" spans="1:10" x14ac:dyDescent="0.35">
      <c r="D40" s="31" t="s">
        <v>26</v>
      </c>
      <c r="E40" s="10">
        <f>E38-E39</f>
        <v>-873.60290296945732</v>
      </c>
      <c r="F40" s="34">
        <f t="shared" si="3"/>
        <v>-10483.234835633488</v>
      </c>
      <c r="G40" s="41"/>
    </row>
    <row r="42" spans="1:10" x14ac:dyDescent="0.35">
      <c r="D42" s="18"/>
    </row>
  </sheetData>
  <mergeCells count="1">
    <mergeCell ref="A1:G1"/>
  </mergeCells>
  <pageMargins left="0.25" right="0.25" top="0.75" bottom="0.75" header="0.3" footer="0.3"/>
  <pageSetup scale="8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E17" sqref="E17"/>
    </sheetView>
  </sheetViews>
  <sheetFormatPr defaultColWidth="9.1796875" defaultRowHeight="14.5" x14ac:dyDescent="0.35"/>
  <cols>
    <col min="1" max="1" width="16.81640625" bestFit="1" customWidth="1"/>
    <col min="2" max="2" width="11.1796875" bestFit="1" customWidth="1"/>
    <col min="3" max="3" width="9.1796875" customWidth="1"/>
    <col min="4" max="4" width="14.54296875" bestFit="1" customWidth="1"/>
    <col min="5" max="5" width="8.1796875" style="4" bestFit="1" customWidth="1"/>
    <col min="6" max="6" width="14" bestFit="1" customWidth="1"/>
  </cols>
  <sheetData>
    <row r="1" spans="1:6" x14ac:dyDescent="0.35">
      <c r="A1" s="5" t="s">
        <v>58</v>
      </c>
      <c r="B1" s="8">
        <v>2000</v>
      </c>
      <c r="C1" s="7"/>
      <c r="D1" s="6" t="s">
        <v>45</v>
      </c>
      <c r="E1" s="14" t="s">
        <v>47</v>
      </c>
      <c r="F1" s="5" t="s">
        <v>2</v>
      </c>
    </row>
    <row r="2" spans="1:6" x14ac:dyDescent="0.35">
      <c r="A2" s="5" t="s">
        <v>43</v>
      </c>
      <c r="B2" s="9">
        <v>0</v>
      </c>
      <c r="C2" s="7"/>
      <c r="D2" s="8">
        <v>10000</v>
      </c>
      <c r="E2" s="12">
        <f>D2/(D2+$B$7)</f>
        <v>2.4006506640868393E-2</v>
      </c>
      <c r="F2" s="10">
        <f t="shared" ref="F2:F16" si="0">D2+$B$7</f>
        <v>416553.73476856138</v>
      </c>
    </row>
    <row r="3" spans="1:6" x14ac:dyDescent="0.35">
      <c r="A3" s="5" t="s">
        <v>42</v>
      </c>
      <c r="B3" s="11">
        <f>B1+B2</f>
        <v>2000</v>
      </c>
      <c r="C3" s="7"/>
      <c r="D3" s="8">
        <v>20000</v>
      </c>
      <c r="E3" s="12">
        <f t="shared" ref="E3:E16" si="1">D3/(D3+$B$7)</f>
        <v>4.6887410353707387E-2</v>
      </c>
      <c r="F3" s="10">
        <f t="shared" si="0"/>
        <v>426553.73476856138</v>
      </c>
    </row>
    <row r="4" spans="1:6" x14ac:dyDescent="0.35">
      <c r="A4" s="5" t="s">
        <v>13</v>
      </c>
      <c r="B4" s="13">
        <v>4.2500000000000003E-2</v>
      </c>
      <c r="C4" s="7"/>
      <c r="D4" s="8">
        <v>30000</v>
      </c>
      <c r="E4" s="12">
        <f t="shared" si="1"/>
        <v>6.8720062642241453E-2</v>
      </c>
      <c r="F4" s="10">
        <f t="shared" si="0"/>
        <v>436553.73476856138</v>
      </c>
    </row>
    <row r="5" spans="1:6" x14ac:dyDescent="0.35">
      <c r="A5" s="5" t="s">
        <v>46</v>
      </c>
      <c r="B5" s="9">
        <v>30</v>
      </c>
      <c r="C5" s="7"/>
      <c r="D5" s="8">
        <v>40000</v>
      </c>
      <c r="E5" s="12">
        <f t="shared" si="1"/>
        <v>8.9574886258047062E-2</v>
      </c>
      <c r="F5" s="10">
        <f t="shared" si="0"/>
        <v>446553.73476856138</v>
      </c>
    </row>
    <row r="6" spans="1:6" x14ac:dyDescent="0.35">
      <c r="A6" s="7"/>
      <c r="B6" s="7"/>
      <c r="C6" s="15"/>
      <c r="D6" s="8">
        <v>50000</v>
      </c>
      <c r="E6" s="12">
        <f t="shared" si="1"/>
        <v>0.10951613401070141</v>
      </c>
      <c r="F6" s="10">
        <f t="shared" si="0"/>
        <v>456553.73476856138</v>
      </c>
    </row>
    <row r="7" spans="1:6" x14ac:dyDescent="0.35">
      <c r="A7" s="5" t="s">
        <v>44</v>
      </c>
      <c r="B7" s="10">
        <f>B1*(((1+(B4/12))^(B5*12)-1)/((B4/12)*(1+(B4/12))^(B5*12)))</f>
        <v>406553.73476856138</v>
      </c>
      <c r="C7" s="15"/>
      <c r="D7" s="8">
        <v>60000</v>
      </c>
      <c r="E7" s="12">
        <f t="shared" si="1"/>
        <v>0.12860254999301118</v>
      </c>
      <c r="F7" s="10">
        <f t="shared" si="0"/>
        <v>466553.73476856138</v>
      </c>
    </row>
    <row r="8" spans="1:6" x14ac:dyDescent="0.35">
      <c r="A8" s="18"/>
      <c r="B8" s="19"/>
      <c r="C8" s="18"/>
      <c r="D8" s="8">
        <v>70000</v>
      </c>
      <c r="E8" s="12">
        <f t="shared" si="1"/>
        <v>0.14688794755536969</v>
      </c>
      <c r="F8" s="10">
        <f t="shared" si="0"/>
        <v>476553.73476856138</v>
      </c>
    </row>
    <row r="9" spans="1:6" x14ac:dyDescent="0.35">
      <c r="A9" s="18"/>
      <c r="B9" s="18"/>
      <c r="C9" s="18"/>
      <c r="D9" s="8">
        <v>80000</v>
      </c>
      <c r="E9" s="12">
        <f t="shared" si="1"/>
        <v>0.16442171600646233</v>
      </c>
      <c r="F9" s="10">
        <f t="shared" si="0"/>
        <v>486553.73476856138</v>
      </c>
    </row>
    <row r="10" spans="1:6" x14ac:dyDescent="0.35">
      <c r="A10" s="18"/>
      <c r="B10" s="18"/>
      <c r="C10" s="18"/>
      <c r="D10" s="8">
        <v>90000</v>
      </c>
      <c r="E10" s="12">
        <f t="shared" si="1"/>
        <v>0.18124926608788489</v>
      </c>
      <c r="F10" s="10">
        <f t="shared" si="0"/>
        <v>496553.73476856138</v>
      </c>
    </row>
    <row r="11" spans="1:6" x14ac:dyDescent="0.35">
      <c r="A11" s="18"/>
      <c r="B11" s="18"/>
      <c r="C11" s="18"/>
      <c r="D11" s="8">
        <v>100000</v>
      </c>
      <c r="E11" s="12">
        <f t="shared" si="1"/>
        <v>0.19741242268342737</v>
      </c>
      <c r="F11" s="10">
        <f t="shared" si="0"/>
        <v>506553.73476856138</v>
      </c>
    </row>
    <row r="12" spans="1:6" x14ac:dyDescent="0.35">
      <c r="A12" s="18"/>
      <c r="B12" s="18"/>
      <c r="C12" s="18"/>
      <c r="D12" s="8">
        <v>110000</v>
      </c>
      <c r="E12" s="12">
        <f t="shared" si="1"/>
        <v>0.21294977191343858</v>
      </c>
      <c r="F12" s="10">
        <f t="shared" si="0"/>
        <v>516553.73476856138</v>
      </c>
    </row>
    <row r="13" spans="1:6" x14ac:dyDescent="0.35">
      <c r="A13" s="18"/>
      <c r="B13" s="18"/>
      <c r="C13" s="18"/>
      <c r="D13" s="8">
        <v>120000</v>
      </c>
      <c r="E13" s="12">
        <f t="shared" si="1"/>
        <v>0.22789696867831385</v>
      </c>
      <c r="F13" s="10">
        <f t="shared" si="0"/>
        <v>526553.73476856132</v>
      </c>
    </row>
    <row r="14" spans="1:6" x14ac:dyDescent="0.35">
      <c r="A14" s="18"/>
      <c r="B14" s="18"/>
      <c r="C14" s="18"/>
      <c r="D14" s="8">
        <v>130000</v>
      </c>
      <c r="E14" s="12">
        <f t="shared" si="1"/>
        <v>0.24228700981100165</v>
      </c>
      <c r="F14" s="10">
        <f t="shared" si="0"/>
        <v>536553.73476856132</v>
      </c>
    </row>
    <row r="15" spans="1:6" x14ac:dyDescent="0.35">
      <c r="A15" s="18"/>
      <c r="B15" s="18"/>
      <c r="C15" s="18"/>
      <c r="D15" s="8">
        <v>140000</v>
      </c>
      <c r="E15" s="12">
        <f t="shared" si="1"/>
        <v>0.25615047724316281</v>
      </c>
      <c r="F15" s="10">
        <f t="shared" si="0"/>
        <v>546553.73476856132</v>
      </c>
    </row>
    <row r="16" spans="1:6" x14ac:dyDescent="0.35">
      <c r="A16" s="18"/>
      <c r="B16" s="18"/>
      <c r="C16" s="18"/>
      <c r="D16" s="8">
        <v>150000</v>
      </c>
      <c r="E16" s="12">
        <f t="shared" si="1"/>
        <v>0.26951575495648478</v>
      </c>
      <c r="F16" s="10">
        <f t="shared" si="0"/>
        <v>556553.73476856132</v>
      </c>
    </row>
    <row r="17" spans="1:6" x14ac:dyDescent="0.35">
      <c r="A17" s="3"/>
      <c r="B17" s="3"/>
      <c r="C17" s="3"/>
      <c r="D17" s="16">
        <f>F17*E17</f>
        <v>101638.43369214034</v>
      </c>
      <c r="E17" s="17">
        <v>0.2</v>
      </c>
      <c r="F17" s="16">
        <f>$B$7/(1-E17)</f>
        <v>508192.16846070171</v>
      </c>
    </row>
    <row r="18" spans="1:6" x14ac:dyDescent="0.35">
      <c r="A18" s="3"/>
      <c r="B18" s="3"/>
      <c r="C18" s="3"/>
      <c r="D18" s="16">
        <f t="shared" ref="D18:D20" si="2">F18*E18</f>
        <v>71744.776723863775</v>
      </c>
      <c r="E18" s="17">
        <v>0.15</v>
      </c>
      <c r="F18" s="16">
        <f t="shared" ref="F18:F20" si="3">$B$7/(1-E18)</f>
        <v>478298.51149242517</v>
      </c>
    </row>
    <row r="19" spans="1:6" x14ac:dyDescent="0.35">
      <c r="A19" s="3"/>
      <c r="B19" s="3"/>
      <c r="C19" s="3"/>
      <c r="D19" s="16">
        <f t="shared" si="2"/>
        <v>45172.637196506817</v>
      </c>
      <c r="E19" s="17">
        <v>0.1</v>
      </c>
      <c r="F19" s="16">
        <f t="shared" si="3"/>
        <v>451726.37196506816</v>
      </c>
    </row>
    <row r="20" spans="1:6" x14ac:dyDescent="0.35">
      <c r="A20" s="3"/>
      <c r="B20" s="3"/>
      <c r="C20" s="3"/>
      <c r="D20" s="16">
        <f t="shared" si="2"/>
        <v>21397.564987819023</v>
      </c>
      <c r="E20" s="17">
        <v>0.05</v>
      </c>
      <c r="F20" s="16">
        <f t="shared" si="3"/>
        <v>427951.29975638044</v>
      </c>
    </row>
  </sheetData>
  <pageMargins left="0.25" right="0.25" top="0.75" bottom="0.75" header="0.3" footer="0.3"/>
  <pageSetup scale="83" orientation="portrait" horizontalDpi="300" verticalDpi="300" r:id="rId1"/>
  <headerFooter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Evaluator</vt:lpstr>
      <vt:lpstr>Affordability</vt:lpstr>
      <vt:lpstr>'Property Evaluator'!Print_Area</vt:lpstr>
    </vt:vector>
  </TitlesOfParts>
  <Company>USMC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Ruffing</dc:creator>
  <cp:lastModifiedBy>Nathan Ruffing</cp:lastModifiedBy>
  <cp:lastPrinted>2013-06-15T22:37:52Z</cp:lastPrinted>
  <dcterms:created xsi:type="dcterms:W3CDTF">2013-03-23T17:27:45Z</dcterms:created>
  <dcterms:modified xsi:type="dcterms:W3CDTF">2018-10-18T22:08:45Z</dcterms:modified>
</cp:coreProperties>
</file>